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.tiraa\Documents\PPF health\PPF implementation\iTAP\V 6 folder\"/>
    </mc:Choice>
  </mc:AlternateContent>
  <bookViews>
    <workbookView xWindow="0" yWindow="0" windowWidth="28800" windowHeight="13590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F7" i="1"/>
  <c r="E7" i="1"/>
  <c r="D7" i="1"/>
  <c r="C7" i="1"/>
  <c r="F6" i="1"/>
  <c r="E6" i="1"/>
  <c r="D6" i="1"/>
  <c r="C6" i="1"/>
  <c r="B6" i="1"/>
  <c r="C74" i="1"/>
  <c r="C73" i="1"/>
  <c r="C75" i="1"/>
  <c r="C72" i="1"/>
  <c r="C69" i="1"/>
  <c r="C65" i="1"/>
  <c r="W21" i="1"/>
  <c r="W14" i="1"/>
  <c r="M22" i="1"/>
  <c r="N22" i="1"/>
  <c r="O22" i="1"/>
  <c r="P22" i="1"/>
  <c r="Q22" i="1"/>
  <c r="R22" i="1"/>
  <c r="S22" i="1"/>
  <c r="T22" i="1"/>
  <c r="U22" i="1"/>
  <c r="V22" i="1"/>
  <c r="H22" i="1"/>
  <c r="I22" i="1"/>
  <c r="J22" i="1"/>
  <c r="K22" i="1"/>
  <c r="L22" i="1"/>
  <c r="G22" i="1"/>
  <c r="F22" i="1"/>
  <c r="E22" i="1"/>
  <c r="D22" i="1"/>
  <c r="D23" i="1"/>
  <c r="C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G23" i="1"/>
  <c r="H23" i="1"/>
  <c r="I23" i="1"/>
  <c r="E23" i="1"/>
  <c r="F23" i="1"/>
  <c r="C23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D16" i="1"/>
  <c r="C16" i="1"/>
  <c r="M9" i="1"/>
  <c r="O9" i="1"/>
  <c r="O11" i="1"/>
  <c r="U9" i="1"/>
  <c r="U11" i="1"/>
  <c r="G9" i="1"/>
  <c r="G11" i="1"/>
  <c r="H9" i="1"/>
  <c r="H11" i="1"/>
  <c r="I9" i="1"/>
  <c r="I11" i="1"/>
  <c r="B11" i="1"/>
  <c r="B29" i="1"/>
  <c r="M11" i="1"/>
  <c r="C11" i="1"/>
  <c r="D11" i="1"/>
  <c r="E11" i="1"/>
  <c r="F11" i="1"/>
  <c r="D33" i="1"/>
  <c r="D34" i="1"/>
  <c r="C34" i="1"/>
  <c r="C27" i="1"/>
  <c r="D26" i="1"/>
  <c r="E26" i="1"/>
  <c r="F26" i="1"/>
  <c r="V24" i="1"/>
  <c r="V21" i="1"/>
  <c r="U24" i="1"/>
  <c r="U21" i="1"/>
  <c r="T24" i="1"/>
  <c r="T21" i="1"/>
  <c r="S24" i="1"/>
  <c r="S21" i="1"/>
  <c r="R24" i="1"/>
  <c r="R21" i="1"/>
  <c r="Q24" i="1"/>
  <c r="Q21" i="1"/>
  <c r="P24" i="1"/>
  <c r="P21" i="1"/>
  <c r="O24" i="1"/>
  <c r="O21" i="1"/>
  <c r="N24" i="1"/>
  <c r="N21" i="1"/>
  <c r="M24" i="1"/>
  <c r="M21" i="1"/>
  <c r="L24" i="1"/>
  <c r="L21" i="1"/>
  <c r="K24" i="1"/>
  <c r="K21" i="1"/>
  <c r="J24" i="1"/>
  <c r="J21" i="1"/>
  <c r="I24" i="1"/>
  <c r="I21" i="1"/>
  <c r="H24" i="1"/>
  <c r="H21" i="1"/>
  <c r="G24" i="1"/>
  <c r="G21" i="1"/>
  <c r="F24" i="1"/>
  <c r="E24" i="1"/>
  <c r="D24" i="1"/>
  <c r="C24" i="1"/>
  <c r="V18" i="1"/>
  <c r="V14" i="1"/>
  <c r="U18" i="1"/>
  <c r="U14" i="1"/>
  <c r="T18" i="1"/>
  <c r="T14" i="1"/>
  <c r="S18" i="1"/>
  <c r="S14" i="1"/>
  <c r="R18" i="1"/>
  <c r="Q18" i="1"/>
  <c r="P18" i="1"/>
  <c r="P14" i="1"/>
  <c r="O18" i="1"/>
  <c r="O14" i="1"/>
  <c r="N18" i="1"/>
  <c r="N14" i="1"/>
  <c r="M18" i="1"/>
  <c r="M14" i="1"/>
  <c r="L18" i="1"/>
  <c r="L14" i="1"/>
  <c r="K18" i="1"/>
  <c r="K14" i="1"/>
  <c r="J18" i="1"/>
  <c r="J14" i="1"/>
  <c r="I18" i="1"/>
  <c r="I14" i="1"/>
  <c r="H18" i="1"/>
  <c r="H14" i="1"/>
  <c r="G18" i="1"/>
  <c r="G14" i="1"/>
  <c r="F18" i="1"/>
  <c r="E18" i="1"/>
  <c r="D18" i="1"/>
  <c r="C18" i="1"/>
  <c r="R14" i="1"/>
  <c r="Q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V9" i="1"/>
  <c r="V11" i="1"/>
  <c r="N9" i="1"/>
  <c r="N11" i="1"/>
  <c r="T9" i="1"/>
  <c r="T11" i="1"/>
  <c r="L9" i="1"/>
  <c r="L11" i="1"/>
  <c r="S9" i="1"/>
  <c r="S11" i="1"/>
  <c r="K9" i="1"/>
  <c r="K11" i="1"/>
  <c r="R9" i="1"/>
  <c r="R11" i="1"/>
  <c r="J9" i="1"/>
  <c r="J11" i="1"/>
  <c r="Q9" i="1"/>
  <c r="Q11" i="1"/>
  <c r="P9" i="1"/>
  <c r="P11" i="1"/>
  <c r="D35" i="1"/>
  <c r="C35" i="1"/>
  <c r="B35" i="1"/>
  <c r="E33" i="1"/>
  <c r="D27" i="1"/>
  <c r="D29" i="1"/>
  <c r="G26" i="1"/>
  <c r="F27" i="1"/>
  <c r="F29" i="1"/>
  <c r="C29" i="1"/>
  <c r="E27" i="1"/>
  <c r="E29" i="1"/>
  <c r="F33" i="1"/>
  <c r="E34" i="1"/>
  <c r="E35" i="1"/>
  <c r="H26" i="1"/>
  <c r="G27" i="1"/>
  <c r="G29" i="1"/>
  <c r="F34" i="1"/>
  <c r="F35" i="1"/>
  <c r="G33" i="1"/>
  <c r="I26" i="1"/>
  <c r="H27" i="1"/>
  <c r="H29" i="1"/>
  <c r="H33" i="1"/>
  <c r="G34" i="1"/>
  <c r="G35" i="1"/>
  <c r="J26" i="1"/>
  <c r="I27" i="1"/>
  <c r="I29" i="1"/>
  <c r="I33" i="1"/>
  <c r="H34" i="1"/>
  <c r="H35" i="1"/>
  <c r="K26" i="1"/>
  <c r="J27" i="1"/>
  <c r="J29" i="1"/>
  <c r="J33" i="1"/>
  <c r="I34" i="1"/>
  <c r="I35" i="1"/>
  <c r="L26" i="1"/>
  <c r="K27" i="1"/>
  <c r="K29" i="1"/>
  <c r="K33" i="1"/>
  <c r="J34" i="1"/>
  <c r="J35" i="1"/>
  <c r="M26" i="1"/>
  <c r="L27" i="1"/>
  <c r="L29" i="1"/>
  <c r="L33" i="1"/>
  <c r="K34" i="1"/>
  <c r="K35" i="1"/>
  <c r="N26" i="1"/>
  <c r="M27" i="1"/>
  <c r="M29" i="1"/>
  <c r="M33" i="1"/>
  <c r="L34" i="1"/>
  <c r="L35" i="1"/>
  <c r="O26" i="1"/>
  <c r="N27" i="1"/>
  <c r="N29" i="1"/>
  <c r="N33" i="1"/>
  <c r="M34" i="1"/>
  <c r="M35" i="1"/>
  <c r="P26" i="1"/>
  <c r="O27" i="1"/>
  <c r="O29" i="1"/>
  <c r="O33" i="1"/>
  <c r="N34" i="1"/>
  <c r="N35" i="1"/>
  <c r="Q26" i="1"/>
  <c r="P27" i="1"/>
  <c r="P29" i="1"/>
  <c r="P33" i="1"/>
  <c r="O34" i="1"/>
  <c r="O35" i="1"/>
  <c r="R26" i="1"/>
  <c r="Q27" i="1"/>
  <c r="Q29" i="1"/>
  <c r="Q33" i="1"/>
  <c r="P34" i="1"/>
  <c r="P35" i="1"/>
  <c r="S26" i="1"/>
  <c r="R27" i="1"/>
  <c r="R29" i="1"/>
  <c r="R33" i="1"/>
  <c r="Q34" i="1"/>
  <c r="Q35" i="1"/>
  <c r="T26" i="1"/>
  <c r="S27" i="1"/>
  <c r="S29" i="1"/>
  <c r="S33" i="1"/>
  <c r="R34" i="1"/>
  <c r="R35" i="1"/>
  <c r="U26" i="1"/>
  <c r="T27" i="1"/>
  <c r="T29" i="1"/>
  <c r="T33" i="1"/>
  <c r="S34" i="1"/>
  <c r="S35" i="1"/>
  <c r="V26" i="1"/>
  <c r="V27" i="1"/>
  <c r="V29" i="1"/>
  <c r="U27" i="1"/>
  <c r="U29" i="1"/>
  <c r="U33" i="1"/>
  <c r="T34" i="1"/>
  <c r="T35" i="1"/>
  <c r="C31" i="1"/>
  <c r="V33" i="1"/>
  <c r="V34" i="1"/>
  <c r="V35" i="1"/>
  <c r="U34" i="1"/>
  <c r="U35" i="1"/>
  <c r="C36" i="1"/>
</calcChain>
</file>

<file path=xl/comments1.xml><?xml version="1.0" encoding="utf-8"?>
<comments xmlns="http://schemas.openxmlformats.org/spreadsheetml/2006/main">
  <authors>
    <author>Michael Yap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added popn growth 2022-2024 from United Nations, Department of Economic and Social Affairs, Population Division (2022). World Population Prospects 2022, Online Edition.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medium variant projection source: United Nations, Department of Economic and Social Affairs, Population Division (2022). World Population Prospects 2022, Online Edition.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increased same as popn growth rate of CI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increased same popn growth rate as CI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added popn growth 2022-2024 from United Nations, Department of Economic and Social Affairs, Population Division (2022). World Population Prospects 2022, Online Edition.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medium variant projection source: United Nations, Department of Economic and Social Affairs, Population Division (2022). World Population Prospects 2022, Online Edition.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increased same as popn growth rate of CI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Michael Yap:</t>
        </r>
        <r>
          <rPr>
            <sz val="9"/>
            <color indexed="81"/>
            <rFont val="Tahoma"/>
            <family val="2"/>
          </rPr>
          <t xml:space="preserve">
increased same popn growth rate as CI</t>
        </r>
      </text>
    </comment>
  </commentList>
</comments>
</file>

<file path=xl/sharedStrings.xml><?xml version="1.0" encoding="utf-8"?>
<sst xmlns="http://schemas.openxmlformats.org/spreadsheetml/2006/main" count="44" uniqueCount="33">
  <si>
    <t>Economic Analysis TMO proposal to GCF</t>
  </si>
  <si>
    <t>USD'millions</t>
  </si>
  <si>
    <t>Year</t>
  </si>
  <si>
    <t>Costs</t>
  </si>
  <si>
    <t>Investment costs</t>
  </si>
  <si>
    <t>GCF</t>
  </si>
  <si>
    <t>GoCI</t>
  </si>
  <si>
    <t>WHO</t>
  </si>
  <si>
    <t>O&amp;M costs</t>
  </si>
  <si>
    <t>Total costs</t>
  </si>
  <si>
    <t>Benefits</t>
  </si>
  <si>
    <t>CC morbidity (USD'm)</t>
  </si>
  <si>
    <t>DALYs # per 100k population</t>
  </si>
  <si>
    <t>CI population</t>
  </si>
  <si>
    <t>Population increase</t>
  </si>
  <si>
    <t>DALYs # CI</t>
  </si>
  <si>
    <t>DALYs cost (USD'm)</t>
  </si>
  <si>
    <t>CC mortality (USD'm)</t>
  </si>
  <si>
    <t>VSL # Western Pacific</t>
  </si>
  <si>
    <t>Total region population (m)</t>
  </si>
  <si>
    <t>CI VSL due CC</t>
  </si>
  <si>
    <t>CI VSL value (USD'm)</t>
  </si>
  <si>
    <t>% attributable to project</t>
  </si>
  <si>
    <t>Total benefits (USD'm)</t>
  </si>
  <si>
    <t>Net benefit (USD'm)</t>
  </si>
  <si>
    <t>Discount rate</t>
  </si>
  <si>
    <t>NPV(USD'm)</t>
  </si>
  <si>
    <t>Breakeven attribution rate</t>
  </si>
  <si>
    <t>Total benefits breakeven</t>
  </si>
  <si>
    <t>Net benefit B/E</t>
  </si>
  <si>
    <t>NPV</t>
  </si>
  <si>
    <t>Assumptions</t>
  </si>
  <si>
    <t>O&amp;M %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</si>
</sst>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9" fontId="0" fillId="0" borderId="0" xfId="0" applyNumberForma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horizontal="left" indent="1"/>
    </xf>
    <xf numFmtId="43" fontId="0" fillId="0" borderId="0" xfId="1" applyFont="1" applyBorder="1"/>
    <xf numFmtId="0" fontId="0" fillId="0" borderId="0" xfId="0" applyAlignment="1">
      <alignment horizontal="left"/>
    </xf>
    <xf numFmtId="43" fontId="0" fillId="0" borderId="2" xfId="1" applyFont="1" applyBorder="1"/>
    <xf numFmtId="0" fontId="3" fillId="0" borderId="1" xfId="0" applyFont="1" applyBorder="1" applyAlignment="1">
      <alignment horizontal="left"/>
    </xf>
    <xf numFmtId="43" fontId="0" fillId="0" borderId="1" xfId="1" applyFont="1" applyBorder="1"/>
    <xf numFmtId="164" fontId="0" fillId="0" borderId="0" xfId="1" applyNumberFormat="1" applyFont="1" applyBorder="1"/>
    <xf numFmtId="43" fontId="0" fillId="0" borderId="1" xfId="0" applyNumberFormat="1" applyBorder="1"/>
    <xf numFmtId="43" fontId="0" fillId="0" borderId="0" xfId="0" applyNumberFormat="1"/>
    <xf numFmtId="0" fontId="0" fillId="0" borderId="3" xfId="0" applyBorder="1"/>
    <xf numFmtId="43" fontId="0" fillId="0" borderId="3" xfId="0" applyNumberFormat="1" applyBorder="1"/>
    <xf numFmtId="0" fontId="0" fillId="0" borderId="3" xfId="0" applyBorder="1" applyAlignment="1">
      <alignment horizontal="left"/>
    </xf>
    <xf numFmtId="43" fontId="0" fillId="0" borderId="3" xfId="1" applyFont="1" applyBorder="1"/>
    <xf numFmtId="0" fontId="3" fillId="0" borderId="3" xfId="0" applyFont="1" applyBorder="1"/>
    <xf numFmtId="43" fontId="3" fillId="0" borderId="3" xfId="1" applyFont="1" applyBorder="1"/>
    <xf numFmtId="9" fontId="0" fillId="0" borderId="1" xfId="0" applyNumberFormat="1" applyBorder="1"/>
    <xf numFmtId="0" fontId="2" fillId="0" borderId="2" xfId="0" applyFont="1" applyBorder="1"/>
    <xf numFmtId="43" fontId="2" fillId="0" borderId="2" xfId="1" applyFont="1" applyBorder="1"/>
    <xf numFmtId="0" fontId="0" fillId="3" borderId="0" xfId="0" applyFill="1" applyAlignment="1">
      <alignment horizontal="left"/>
    </xf>
    <xf numFmtId="43" fontId="0" fillId="3" borderId="0" xfId="1" applyFont="1" applyFill="1" applyBorder="1"/>
    <xf numFmtId="0" fontId="0" fillId="3" borderId="0" xfId="0" applyFill="1" applyAlignment="1">
      <alignment horizontal="left" indent="1"/>
    </xf>
    <xf numFmtId="164" fontId="0" fillId="3" borderId="0" xfId="1" applyNumberFormat="1" applyFont="1" applyFill="1" applyBorder="1"/>
    <xf numFmtId="0" fontId="0" fillId="3" borderId="0" xfId="0" applyFill="1"/>
    <xf numFmtId="43" fontId="6" fillId="0" borderId="0" xfId="0" applyNumberFormat="1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tabSelected="1" zoomScaleNormal="100" workbookViewId="0">
      <selection activeCell="A5" sqref="A5"/>
    </sheetView>
  </sheetViews>
  <sheetFormatPr defaultRowHeight="15" x14ac:dyDescent="0.25"/>
  <cols>
    <col min="1" max="1" width="19.5703125" customWidth="1"/>
    <col min="2" max="2" width="5.85546875" bestFit="1" customWidth="1"/>
    <col min="3" max="22" width="7.85546875" bestFit="1" customWidth="1"/>
  </cols>
  <sheetData>
    <row r="1" spans="1:23" x14ac:dyDescent="0.25">
      <c r="A1" s="3" t="s">
        <v>0</v>
      </c>
    </row>
    <row r="2" spans="1:23" s="3" customFormat="1" x14ac:dyDescent="0.25">
      <c r="A2" s="4" t="s">
        <v>1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</row>
    <row r="3" spans="1:23" s="3" customFormat="1" x14ac:dyDescent="0.25">
      <c r="A3" s="5" t="s">
        <v>2</v>
      </c>
      <c r="B3" s="5">
        <v>2024</v>
      </c>
      <c r="C3" s="5">
        <f>B3+1</f>
        <v>2025</v>
      </c>
      <c r="D3" s="5">
        <f t="shared" ref="D3:V3" si="0">C3+1</f>
        <v>2026</v>
      </c>
      <c r="E3" s="5">
        <f t="shared" si="0"/>
        <v>2027</v>
      </c>
      <c r="F3" s="5">
        <f t="shared" si="0"/>
        <v>2028</v>
      </c>
      <c r="G3" s="5">
        <f t="shared" si="0"/>
        <v>2029</v>
      </c>
      <c r="H3" s="5">
        <f t="shared" si="0"/>
        <v>2030</v>
      </c>
      <c r="I3" s="5">
        <f t="shared" si="0"/>
        <v>2031</v>
      </c>
      <c r="J3" s="5">
        <f t="shared" si="0"/>
        <v>2032</v>
      </c>
      <c r="K3" s="5">
        <f t="shared" si="0"/>
        <v>2033</v>
      </c>
      <c r="L3" s="5">
        <f t="shared" si="0"/>
        <v>2034</v>
      </c>
      <c r="M3" s="5">
        <f t="shared" si="0"/>
        <v>2035</v>
      </c>
      <c r="N3" s="5">
        <f t="shared" si="0"/>
        <v>2036</v>
      </c>
      <c r="O3" s="5">
        <f t="shared" si="0"/>
        <v>2037</v>
      </c>
      <c r="P3" s="5">
        <f t="shared" si="0"/>
        <v>2038</v>
      </c>
      <c r="Q3" s="5">
        <f t="shared" si="0"/>
        <v>2039</v>
      </c>
      <c r="R3" s="5">
        <f t="shared" si="0"/>
        <v>2040</v>
      </c>
      <c r="S3" s="5">
        <f t="shared" si="0"/>
        <v>2041</v>
      </c>
      <c r="T3" s="5">
        <f t="shared" si="0"/>
        <v>2042</v>
      </c>
      <c r="U3" s="5">
        <f t="shared" si="0"/>
        <v>2043</v>
      </c>
      <c r="V3" s="5">
        <f t="shared" si="0"/>
        <v>2044</v>
      </c>
    </row>
    <row r="4" spans="1:2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x14ac:dyDescent="0.25">
      <c r="A5" t="s">
        <v>4</v>
      </c>
    </row>
    <row r="6" spans="1:23" x14ac:dyDescent="0.25">
      <c r="A6" s="8" t="s">
        <v>5</v>
      </c>
      <c r="B6" s="9">
        <f>((-1/10^6))*2550444.15009381</f>
        <v>-2.5504441500938091</v>
      </c>
      <c r="C6" s="9">
        <f>((-1/10^6))*4219650.70884303</f>
        <v>-4.2196507088430266</v>
      </c>
      <c r="D6" s="9">
        <f>((-1/10^6))*2288288.73165929</f>
        <v>-2.2882887316592866</v>
      </c>
      <c r="E6" s="9">
        <f>((-1/10^6))*2019147.47382645</f>
        <v>-2.0191474738264539</v>
      </c>
      <c r="F6" s="9">
        <f>((-1/10^6))*1000689.88715945</f>
        <v>-1.0006898871594465</v>
      </c>
      <c r="G6" s="9"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25">
      <c r="A7" s="8" t="s">
        <v>6</v>
      </c>
      <c r="B7" s="9">
        <f>((-1/10^6))*(352303.06441526+9000)</f>
        <v>-0.36130306441525994</v>
      </c>
      <c r="C7" s="9">
        <f>((-1/10^6))*526398.82739212</f>
        <v>-0.52639882739212007</v>
      </c>
      <c r="D7" s="9">
        <f>((-1/10^6))*79510.5378361476</f>
        <v>-7.9510537836147588E-2</v>
      </c>
      <c r="E7" s="9">
        <f>((-1/10^6))*78010.5378361476</f>
        <v>-7.8010537836147587E-2</v>
      </c>
      <c r="F7" s="9">
        <f>((-1/10^6))*74316.823014384</f>
        <v>-7.4316823014383984E-2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hidden="1" x14ac:dyDescent="0.25">
      <c r="A8" s="8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x14ac:dyDescent="0.25">
      <c r="A9" s="10" t="s">
        <v>8</v>
      </c>
      <c r="B9" s="9"/>
      <c r="C9" s="9"/>
      <c r="D9" s="9"/>
      <c r="E9" s="9"/>
      <c r="F9" s="9"/>
      <c r="G9" s="9">
        <f t="shared" ref="G9:V9" si="1">$B$40*SUM($B$6:$G$8)</f>
        <v>-0.26395521484152162</v>
      </c>
      <c r="H9" s="9">
        <f t="shared" si="1"/>
        <v>-0.26395521484152162</v>
      </c>
      <c r="I9" s="9">
        <f t="shared" si="1"/>
        <v>-0.26395521484152162</v>
      </c>
      <c r="J9" s="9">
        <f t="shared" si="1"/>
        <v>-0.26395521484152162</v>
      </c>
      <c r="K9" s="9">
        <f t="shared" si="1"/>
        <v>-0.26395521484152162</v>
      </c>
      <c r="L9" s="9">
        <f t="shared" si="1"/>
        <v>-0.26395521484152162</v>
      </c>
      <c r="M9" s="9">
        <f t="shared" si="1"/>
        <v>-0.26395521484152162</v>
      </c>
      <c r="N9" s="9">
        <f t="shared" si="1"/>
        <v>-0.26395521484152162</v>
      </c>
      <c r="O9" s="9">
        <f t="shared" si="1"/>
        <v>-0.26395521484152162</v>
      </c>
      <c r="P9" s="9">
        <f t="shared" si="1"/>
        <v>-0.26395521484152162</v>
      </c>
      <c r="Q9" s="9">
        <f t="shared" si="1"/>
        <v>-0.26395521484152162</v>
      </c>
      <c r="R9" s="9">
        <f t="shared" si="1"/>
        <v>-0.26395521484152162</v>
      </c>
      <c r="S9" s="9">
        <f t="shared" si="1"/>
        <v>-0.26395521484152162</v>
      </c>
      <c r="T9" s="9">
        <f t="shared" si="1"/>
        <v>-0.26395521484152162</v>
      </c>
      <c r="U9" s="9">
        <f t="shared" si="1"/>
        <v>-0.26395521484152162</v>
      </c>
      <c r="V9" s="9">
        <f t="shared" si="1"/>
        <v>-0.26395521484152162</v>
      </c>
    </row>
    <row r="10" spans="1:23" hidden="1" x14ac:dyDescent="0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x14ac:dyDescent="0.25">
      <c r="A11" s="19" t="s">
        <v>9</v>
      </c>
      <c r="B11" s="20">
        <f>SUM(B6:B9)</f>
        <v>-2.9117472145090693</v>
      </c>
      <c r="C11" s="20">
        <f t="shared" ref="C11:V11" si="2">SUM(C6:C9)</f>
        <v>-4.7460495362351462</v>
      </c>
      <c r="D11" s="20">
        <f t="shared" si="2"/>
        <v>-2.3677992694954342</v>
      </c>
      <c r="E11" s="20">
        <f t="shared" si="2"/>
        <v>-2.0971580116626014</v>
      </c>
      <c r="F11" s="20">
        <f t="shared" si="2"/>
        <v>-1.0750067101738305</v>
      </c>
      <c r="G11" s="20">
        <f t="shared" si="2"/>
        <v>-0.26395521484152162</v>
      </c>
      <c r="H11" s="20">
        <f t="shared" si="2"/>
        <v>-0.26395521484152162</v>
      </c>
      <c r="I11" s="20">
        <f t="shared" si="2"/>
        <v>-0.26395521484152162</v>
      </c>
      <c r="J11" s="20">
        <f t="shared" si="2"/>
        <v>-0.26395521484152162</v>
      </c>
      <c r="K11" s="20">
        <f t="shared" si="2"/>
        <v>-0.26395521484152162</v>
      </c>
      <c r="L11" s="20">
        <f t="shared" si="2"/>
        <v>-0.26395521484152162</v>
      </c>
      <c r="M11" s="20">
        <f t="shared" si="2"/>
        <v>-0.26395521484152162</v>
      </c>
      <c r="N11" s="20">
        <f t="shared" si="2"/>
        <v>-0.26395521484152162</v>
      </c>
      <c r="O11" s="20">
        <f t="shared" si="2"/>
        <v>-0.26395521484152162</v>
      </c>
      <c r="P11" s="20">
        <f t="shared" si="2"/>
        <v>-0.26395521484152162</v>
      </c>
      <c r="Q11" s="20">
        <f t="shared" si="2"/>
        <v>-0.26395521484152162</v>
      </c>
      <c r="R11" s="20">
        <f t="shared" si="2"/>
        <v>-0.26395521484152162</v>
      </c>
      <c r="S11" s="20">
        <f t="shared" si="2"/>
        <v>-0.26395521484152162</v>
      </c>
      <c r="T11" s="20">
        <f t="shared" si="2"/>
        <v>-0.26395521484152162</v>
      </c>
      <c r="U11" s="20">
        <f t="shared" si="2"/>
        <v>-0.26395521484152162</v>
      </c>
      <c r="V11" s="20">
        <f t="shared" si="2"/>
        <v>-0.26395521484152162</v>
      </c>
    </row>
    <row r="12" spans="1:23" hidden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3" x14ac:dyDescent="0.25">
      <c r="A13" s="12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3" x14ac:dyDescent="0.25">
      <c r="A14" s="10" t="s">
        <v>11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ref="G14:V14" si="3">G19*G18</f>
        <v>0.73948702079999995</v>
      </c>
      <c r="H14" s="9">
        <f t="shared" si="3"/>
        <v>0.74489790144000001</v>
      </c>
      <c r="I14" s="9">
        <f t="shared" si="3"/>
        <v>0.75166150223999995</v>
      </c>
      <c r="J14" s="9">
        <f t="shared" si="3"/>
        <v>0.76203235680000003</v>
      </c>
      <c r="K14" s="9">
        <f t="shared" si="3"/>
        <v>0.76834505088000005</v>
      </c>
      <c r="L14" s="9">
        <f t="shared" si="3"/>
        <v>0.77601046511999994</v>
      </c>
      <c r="M14" s="9">
        <f t="shared" si="3"/>
        <v>0.78187225247999992</v>
      </c>
      <c r="N14" s="9">
        <f t="shared" si="3"/>
        <v>0.78773403984000001</v>
      </c>
      <c r="O14" s="9">
        <f t="shared" si="3"/>
        <v>0.79269401376000004</v>
      </c>
      <c r="P14" s="9">
        <f t="shared" si="3"/>
        <v>0.79990852128000001</v>
      </c>
      <c r="Q14" s="9">
        <f t="shared" si="3"/>
        <v>0.80712302880000009</v>
      </c>
      <c r="R14" s="9">
        <f t="shared" si="3"/>
        <v>0.81208300272</v>
      </c>
      <c r="S14" s="9">
        <f t="shared" si="3"/>
        <v>0.81749388335999995</v>
      </c>
      <c r="T14" s="9">
        <f t="shared" si="3"/>
        <v>0.82200295055999995</v>
      </c>
      <c r="U14" s="9">
        <f t="shared" si="3"/>
        <v>0.82696292447999997</v>
      </c>
      <c r="V14" s="9">
        <f t="shared" si="3"/>
        <v>0.83102108496000004</v>
      </c>
      <c r="W14" s="31">
        <f>AVERAGE(G14:V14)</f>
        <v>0.78883312496999991</v>
      </c>
    </row>
    <row r="15" spans="1:23" x14ac:dyDescent="0.25">
      <c r="A15" s="8" t="s">
        <v>12</v>
      </c>
      <c r="B15" s="9"/>
      <c r="C15" s="9">
        <v>189.6</v>
      </c>
      <c r="D15" s="9">
        <v>189.6</v>
      </c>
      <c r="E15" s="9">
        <v>189.6</v>
      </c>
      <c r="F15" s="9">
        <v>189.6</v>
      </c>
      <c r="G15" s="9">
        <v>189.6</v>
      </c>
      <c r="H15" s="9">
        <v>189.6</v>
      </c>
      <c r="I15" s="9">
        <v>189.6</v>
      </c>
      <c r="J15" s="9">
        <v>189.6</v>
      </c>
      <c r="K15" s="9">
        <v>189.6</v>
      </c>
      <c r="L15" s="9">
        <v>189.6</v>
      </c>
      <c r="M15" s="9">
        <v>189.6</v>
      </c>
      <c r="N15" s="9">
        <v>189.6</v>
      </c>
      <c r="O15" s="9">
        <v>189.6</v>
      </c>
      <c r="P15" s="9">
        <v>189.6</v>
      </c>
      <c r="Q15" s="9">
        <v>189.6</v>
      </c>
      <c r="R15" s="9">
        <v>189.6</v>
      </c>
      <c r="S15" s="9">
        <v>189.6</v>
      </c>
      <c r="T15" s="9">
        <v>189.6</v>
      </c>
      <c r="U15" s="9">
        <v>189.6</v>
      </c>
      <c r="V15" s="9">
        <v>189.6</v>
      </c>
      <c r="W15" s="32"/>
    </row>
    <row r="16" spans="1:23" x14ac:dyDescent="0.25">
      <c r="A16" s="8" t="s">
        <v>13</v>
      </c>
      <c r="B16" s="14"/>
      <c r="C16" s="14">
        <f>15040+1000*(0.25+0.14+0.19)</f>
        <v>15620</v>
      </c>
      <c r="D16" s="14">
        <f>C16+C17</f>
        <v>15790</v>
      </c>
      <c r="E16" s="14">
        <f t="shared" ref="E16:V16" si="4">D16+D17</f>
        <v>16020</v>
      </c>
      <c r="F16" s="14">
        <f t="shared" si="4"/>
        <v>16210</v>
      </c>
      <c r="G16" s="14">
        <f t="shared" si="4"/>
        <v>16400</v>
      </c>
      <c r="H16" s="14">
        <f t="shared" si="4"/>
        <v>16520</v>
      </c>
      <c r="I16" s="14">
        <f t="shared" si="4"/>
        <v>16670</v>
      </c>
      <c r="J16" s="14">
        <f t="shared" si="4"/>
        <v>16900</v>
      </c>
      <c r="K16" s="14">
        <f t="shared" si="4"/>
        <v>17040</v>
      </c>
      <c r="L16" s="14">
        <f t="shared" si="4"/>
        <v>17210</v>
      </c>
      <c r="M16" s="14">
        <f t="shared" si="4"/>
        <v>17340</v>
      </c>
      <c r="N16" s="14">
        <f t="shared" si="4"/>
        <v>17470</v>
      </c>
      <c r="O16" s="14">
        <f t="shared" si="4"/>
        <v>17580</v>
      </c>
      <c r="P16" s="14">
        <f t="shared" si="4"/>
        <v>17740</v>
      </c>
      <c r="Q16" s="14">
        <f t="shared" si="4"/>
        <v>17900</v>
      </c>
      <c r="R16" s="14">
        <f t="shared" si="4"/>
        <v>18010</v>
      </c>
      <c r="S16" s="14">
        <f t="shared" si="4"/>
        <v>18130</v>
      </c>
      <c r="T16" s="14">
        <f t="shared" si="4"/>
        <v>18230</v>
      </c>
      <c r="U16" s="14">
        <f t="shared" si="4"/>
        <v>18340</v>
      </c>
      <c r="V16" s="14">
        <f t="shared" si="4"/>
        <v>18430</v>
      </c>
      <c r="W16" s="32"/>
    </row>
    <row r="17" spans="1:23" x14ac:dyDescent="0.25">
      <c r="A17" s="8" t="s">
        <v>14</v>
      </c>
      <c r="B17" s="14"/>
      <c r="C17" s="14">
        <v>170</v>
      </c>
      <c r="D17" s="14">
        <v>230</v>
      </c>
      <c r="E17" s="14">
        <v>190</v>
      </c>
      <c r="F17" s="14">
        <v>190</v>
      </c>
      <c r="G17" s="14">
        <v>120</v>
      </c>
      <c r="H17" s="14">
        <v>150</v>
      </c>
      <c r="I17" s="14">
        <v>230</v>
      </c>
      <c r="J17" s="14">
        <v>140</v>
      </c>
      <c r="K17" s="14">
        <v>170</v>
      </c>
      <c r="L17" s="14">
        <v>130</v>
      </c>
      <c r="M17" s="14">
        <v>130</v>
      </c>
      <c r="N17" s="14">
        <v>110</v>
      </c>
      <c r="O17" s="14">
        <v>160</v>
      </c>
      <c r="P17" s="14">
        <v>160</v>
      </c>
      <c r="Q17" s="14">
        <v>110</v>
      </c>
      <c r="R17" s="14">
        <v>120</v>
      </c>
      <c r="S17" s="14">
        <v>100</v>
      </c>
      <c r="T17" s="14">
        <v>110</v>
      </c>
      <c r="U17" s="14">
        <v>90</v>
      </c>
      <c r="V17" s="14">
        <v>130</v>
      </c>
      <c r="W17" s="32"/>
    </row>
    <row r="18" spans="1:23" x14ac:dyDescent="0.25">
      <c r="A18" s="8" t="s">
        <v>15</v>
      </c>
      <c r="B18" s="9"/>
      <c r="C18" s="9">
        <f t="shared" ref="C18:V18" si="5">C15/100000*C16</f>
        <v>29.61552</v>
      </c>
      <c r="D18" s="9">
        <f t="shared" si="5"/>
        <v>29.937839999999998</v>
      </c>
      <c r="E18" s="9">
        <f t="shared" si="5"/>
        <v>30.373919999999998</v>
      </c>
      <c r="F18" s="9">
        <f t="shared" si="5"/>
        <v>30.734159999999999</v>
      </c>
      <c r="G18" s="9">
        <f t="shared" si="5"/>
        <v>31.094399999999997</v>
      </c>
      <c r="H18" s="9">
        <f t="shared" si="5"/>
        <v>31.321919999999999</v>
      </c>
      <c r="I18" s="9">
        <f t="shared" si="5"/>
        <v>31.606319999999997</v>
      </c>
      <c r="J18" s="9">
        <f t="shared" si="5"/>
        <v>32.042400000000001</v>
      </c>
      <c r="K18" s="9">
        <f t="shared" si="5"/>
        <v>32.307839999999999</v>
      </c>
      <c r="L18" s="9">
        <f t="shared" si="5"/>
        <v>32.630159999999997</v>
      </c>
      <c r="M18" s="9">
        <f t="shared" si="5"/>
        <v>32.876639999999995</v>
      </c>
      <c r="N18" s="9">
        <f t="shared" si="5"/>
        <v>33.12312</v>
      </c>
      <c r="O18" s="9">
        <f t="shared" si="5"/>
        <v>33.331679999999999</v>
      </c>
      <c r="P18" s="9">
        <f t="shared" si="5"/>
        <v>33.635039999999996</v>
      </c>
      <c r="Q18" s="9">
        <f t="shared" si="5"/>
        <v>33.938400000000001</v>
      </c>
      <c r="R18" s="9">
        <f t="shared" si="5"/>
        <v>34.14696</v>
      </c>
      <c r="S18" s="9">
        <f t="shared" si="5"/>
        <v>34.374479999999998</v>
      </c>
      <c r="T18" s="9">
        <f t="shared" si="5"/>
        <v>34.564079999999997</v>
      </c>
      <c r="U18" s="9">
        <f t="shared" si="5"/>
        <v>34.772639999999996</v>
      </c>
      <c r="V18" s="9">
        <f t="shared" si="5"/>
        <v>34.943280000000001</v>
      </c>
      <c r="W18" s="32"/>
    </row>
    <row r="19" spans="1:23" x14ac:dyDescent="0.25">
      <c r="A19" s="8" t="s">
        <v>16</v>
      </c>
      <c r="B19" s="9"/>
      <c r="C19" s="9">
        <v>2.3782000000000001E-2</v>
      </c>
      <c r="D19" s="9">
        <v>2.3782000000000001E-2</v>
      </c>
      <c r="E19" s="9">
        <v>2.3782000000000001E-2</v>
      </c>
      <c r="F19" s="9">
        <v>2.3782000000000001E-2</v>
      </c>
      <c r="G19" s="9">
        <v>2.3782000000000001E-2</v>
      </c>
      <c r="H19" s="9">
        <v>2.3782000000000001E-2</v>
      </c>
      <c r="I19" s="9">
        <v>2.3782000000000001E-2</v>
      </c>
      <c r="J19" s="9">
        <v>2.3782000000000001E-2</v>
      </c>
      <c r="K19" s="9">
        <v>2.3782000000000001E-2</v>
      </c>
      <c r="L19" s="9">
        <v>2.3782000000000001E-2</v>
      </c>
      <c r="M19" s="9">
        <v>2.3782000000000001E-2</v>
      </c>
      <c r="N19" s="9">
        <v>2.3782000000000001E-2</v>
      </c>
      <c r="O19" s="9">
        <v>2.3782000000000001E-2</v>
      </c>
      <c r="P19" s="9">
        <v>2.3782000000000001E-2</v>
      </c>
      <c r="Q19" s="9">
        <v>2.3782000000000001E-2</v>
      </c>
      <c r="R19" s="9">
        <v>2.3782000000000001E-2</v>
      </c>
      <c r="S19" s="9">
        <v>2.3782000000000001E-2</v>
      </c>
      <c r="T19" s="9">
        <v>2.3782000000000001E-2</v>
      </c>
      <c r="U19" s="9">
        <v>2.3782000000000001E-2</v>
      </c>
      <c r="V19" s="9">
        <v>2.3782000000000001E-2</v>
      </c>
      <c r="W19" s="32"/>
    </row>
    <row r="20" spans="1:23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32"/>
    </row>
    <row r="21" spans="1:23" x14ac:dyDescent="0.25">
      <c r="A21" s="10" t="s">
        <v>17</v>
      </c>
      <c r="B21" s="9"/>
      <c r="C21" s="9"/>
      <c r="D21" s="9"/>
      <c r="E21" s="9"/>
      <c r="F21" s="9"/>
      <c r="G21" s="9">
        <f t="shared" ref="G21:V21" si="6">G25*G24</f>
        <v>2.7236455696202539</v>
      </c>
      <c r="H21" s="9">
        <f t="shared" si="6"/>
        <v>2.7435746835443044</v>
      </c>
      <c r="I21" s="9">
        <f t="shared" si="6"/>
        <v>2.7684860759493679</v>
      </c>
      <c r="J21" s="9">
        <f t="shared" si="6"/>
        <v>2.8066835443037981</v>
      </c>
      <c r="K21" s="9">
        <f t="shared" si="6"/>
        <v>2.8299341772151907</v>
      </c>
      <c r="L21" s="9">
        <f t="shared" si="6"/>
        <v>2.8581670886075958</v>
      </c>
      <c r="M21" s="9">
        <f t="shared" si="6"/>
        <v>2.8797569620253181</v>
      </c>
      <c r="N21" s="9">
        <f t="shared" si="6"/>
        <v>2.901346835443039</v>
      </c>
      <c r="O21" s="9">
        <f t="shared" si="6"/>
        <v>2.9196151898734186</v>
      </c>
      <c r="P21" s="9">
        <f t="shared" si="6"/>
        <v>2.9461873417721534</v>
      </c>
      <c r="Q21" s="9">
        <f t="shared" si="6"/>
        <v>2.9727594936708872</v>
      </c>
      <c r="R21" s="9">
        <f t="shared" si="6"/>
        <v>2.9910278481012678</v>
      </c>
      <c r="S21" s="9">
        <f t="shared" si="6"/>
        <v>3.0109569620253183</v>
      </c>
      <c r="T21" s="9">
        <f t="shared" si="6"/>
        <v>3.0275645569620271</v>
      </c>
      <c r="U21" s="9">
        <f t="shared" si="6"/>
        <v>3.0458329113924067</v>
      </c>
      <c r="V21" s="9">
        <f t="shared" si="6"/>
        <v>3.0607797468354443</v>
      </c>
      <c r="W21" s="31">
        <f>AVERAGE(G21:V21)</f>
        <v>2.9053949367088623</v>
      </c>
    </row>
    <row r="22" spans="1:23" x14ac:dyDescent="0.25">
      <c r="A22" s="8" t="s">
        <v>18</v>
      </c>
      <c r="B22" s="9"/>
      <c r="C22" s="14">
        <f>4100*C16/15040</f>
        <v>4258.1117021276596</v>
      </c>
      <c r="D22" s="14">
        <f>C22*(1+C17/C16)</f>
        <v>4304.4547872340427</v>
      </c>
      <c r="E22" s="14">
        <f t="shared" ref="E22:V22" si="7">D22*(1+D17/D16)</f>
        <v>4367.1542553191484</v>
      </c>
      <c r="F22" s="14">
        <f t="shared" si="7"/>
        <v>4418.9494680851058</v>
      </c>
      <c r="G22" s="14">
        <f t="shared" si="7"/>
        <v>4470.7446808510631</v>
      </c>
      <c r="H22" s="14">
        <f t="shared" si="7"/>
        <v>4503.4574468085102</v>
      </c>
      <c r="I22" s="14">
        <f t="shared" si="7"/>
        <v>4544.3484042553191</v>
      </c>
      <c r="J22" s="14">
        <f t="shared" si="7"/>
        <v>4607.0478723404249</v>
      </c>
      <c r="K22" s="14">
        <f t="shared" si="7"/>
        <v>4645.2127659574462</v>
      </c>
      <c r="L22" s="14">
        <f t="shared" si="7"/>
        <v>4691.5558510638293</v>
      </c>
      <c r="M22" s="14">
        <f t="shared" si="7"/>
        <v>4726.994680851064</v>
      </c>
      <c r="N22" s="14">
        <f t="shared" si="7"/>
        <v>4762.4335106382987</v>
      </c>
      <c r="O22" s="14">
        <f t="shared" si="7"/>
        <v>4792.4202127659582</v>
      </c>
      <c r="P22" s="14">
        <f t="shared" si="7"/>
        <v>4836.0372340425538</v>
      </c>
      <c r="Q22" s="14">
        <f t="shared" si="7"/>
        <v>4879.6542553191503</v>
      </c>
      <c r="R22" s="14">
        <f t="shared" si="7"/>
        <v>4909.6409574468098</v>
      </c>
      <c r="S22" s="14">
        <f t="shared" si="7"/>
        <v>4942.3537234042569</v>
      </c>
      <c r="T22" s="14">
        <f t="shared" si="7"/>
        <v>4969.6143617021298</v>
      </c>
      <c r="U22" s="14">
        <f t="shared" si="7"/>
        <v>4999.6010638297894</v>
      </c>
      <c r="V22" s="14">
        <f t="shared" si="7"/>
        <v>5024.1356382978738</v>
      </c>
    </row>
    <row r="23" spans="1:23" x14ac:dyDescent="0.25">
      <c r="A23" s="8" t="s">
        <v>19</v>
      </c>
      <c r="B23" s="9"/>
      <c r="C23" s="14">
        <f>158*C16/15040</f>
        <v>164.09308510638297</v>
      </c>
      <c r="D23" s="14">
        <f>C23*(1+C17/C16)</f>
        <v>165.87898936170211</v>
      </c>
      <c r="E23" s="14">
        <f t="shared" ref="E23:V23" si="8">D23*(1+D17/D16)</f>
        <v>168.29521276595742</v>
      </c>
      <c r="F23" s="14">
        <f t="shared" si="8"/>
        <v>170.29122340425528</v>
      </c>
      <c r="G23" s="14">
        <f t="shared" si="8"/>
        <v>172.28723404255314</v>
      </c>
      <c r="H23" s="14">
        <f t="shared" si="8"/>
        <v>173.54787234042547</v>
      </c>
      <c r="I23" s="14">
        <f t="shared" si="8"/>
        <v>175.12367021276592</v>
      </c>
      <c r="J23" s="14">
        <f t="shared" si="8"/>
        <v>177.53989361702122</v>
      </c>
      <c r="K23" s="14">
        <f t="shared" si="8"/>
        <v>179.01063829787228</v>
      </c>
      <c r="L23" s="14">
        <f t="shared" si="8"/>
        <v>180.79654255319141</v>
      </c>
      <c r="M23" s="14">
        <f t="shared" si="8"/>
        <v>182.16223404255314</v>
      </c>
      <c r="N23" s="14">
        <f t="shared" si="8"/>
        <v>183.52792553191486</v>
      </c>
      <c r="O23" s="14">
        <f t="shared" si="8"/>
        <v>184.68351063829783</v>
      </c>
      <c r="P23" s="14">
        <f t="shared" si="8"/>
        <v>186.36436170212761</v>
      </c>
      <c r="Q23" s="14">
        <f t="shared" si="8"/>
        <v>188.04521276595742</v>
      </c>
      <c r="R23" s="14">
        <f t="shared" si="8"/>
        <v>189.20079787234039</v>
      </c>
      <c r="S23" s="14">
        <f t="shared" si="8"/>
        <v>190.46143617021272</v>
      </c>
      <c r="T23" s="14">
        <f t="shared" si="8"/>
        <v>191.51196808510636</v>
      </c>
      <c r="U23" s="14">
        <f t="shared" si="8"/>
        <v>192.66755319148933</v>
      </c>
      <c r="V23" s="14">
        <f t="shared" si="8"/>
        <v>193.61303191489358</v>
      </c>
    </row>
    <row r="24" spans="1:23" x14ac:dyDescent="0.25">
      <c r="A24" s="8" t="s">
        <v>20</v>
      </c>
      <c r="B24" s="9"/>
      <c r="C24" s="9">
        <f>C16/10^6/C23*C22</f>
        <v>0.40532911392405069</v>
      </c>
      <c r="D24" s="9">
        <f t="shared" ref="D24:V24" si="9">D16/10^6/D23*D22</f>
        <v>0.40974050632911391</v>
      </c>
      <c r="E24" s="9">
        <f t="shared" si="9"/>
        <v>0.41570886075949365</v>
      </c>
      <c r="F24" s="9">
        <f t="shared" si="9"/>
        <v>0.42063924050632912</v>
      </c>
      <c r="G24" s="9">
        <f t="shared" si="9"/>
        <v>0.42556962025316464</v>
      </c>
      <c r="H24" s="9">
        <f t="shared" si="9"/>
        <v>0.42868354430379757</v>
      </c>
      <c r="I24" s="9">
        <f t="shared" si="9"/>
        <v>0.43257594936708871</v>
      </c>
      <c r="J24" s="9">
        <f t="shared" si="9"/>
        <v>0.43854430379746839</v>
      </c>
      <c r="K24" s="9">
        <f t="shared" si="9"/>
        <v>0.44217721518987352</v>
      </c>
      <c r="L24" s="9">
        <f t="shared" si="9"/>
        <v>0.44658860759493685</v>
      </c>
      <c r="M24" s="9">
        <f t="shared" si="9"/>
        <v>0.4499620253164559</v>
      </c>
      <c r="N24" s="9">
        <f t="shared" si="9"/>
        <v>0.45333544303797479</v>
      </c>
      <c r="O24" s="9">
        <f t="shared" si="9"/>
        <v>0.45618987341772166</v>
      </c>
      <c r="P24" s="9">
        <f t="shared" si="9"/>
        <v>0.46034177215189892</v>
      </c>
      <c r="Q24" s="9">
        <f t="shared" si="9"/>
        <v>0.46449367088607613</v>
      </c>
      <c r="R24" s="9">
        <f t="shared" si="9"/>
        <v>0.46734810126582305</v>
      </c>
      <c r="S24" s="9">
        <f t="shared" si="9"/>
        <v>0.47046202531645598</v>
      </c>
      <c r="T24" s="9">
        <f t="shared" si="9"/>
        <v>0.47305696202531672</v>
      </c>
      <c r="U24" s="9">
        <f t="shared" si="9"/>
        <v>0.47591139240506353</v>
      </c>
      <c r="V24" s="9">
        <f t="shared" si="9"/>
        <v>0.47824683544303814</v>
      </c>
    </row>
    <row r="25" spans="1:23" x14ac:dyDescent="0.25">
      <c r="A25" s="8" t="s">
        <v>21</v>
      </c>
      <c r="B25" s="9"/>
      <c r="C25" s="9">
        <v>6.4</v>
      </c>
      <c r="D25" s="9">
        <v>6.4</v>
      </c>
      <c r="E25" s="9">
        <v>6.4</v>
      </c>
      <c r="F25" s="9">
        <v>6.4</v>
      </c>
      <c r="G25" s="9">
        <v>6.4</v>
      </c>
      <c r="H25" s="9">
        <v>6.4</v>
      </c>
      <c r="I25" s="9">
        <v>6.4</v>
      </c>
      <c r="J25" s="9">
        <v>6.4</v>
      </c>
      <c r="K25" s="9">
        <v>6.4</v>
      </c>
      <c r="L25" s="9">
        <v>6.4</v>
      </c>
      <c r="M25" s="9">
        <v>6.4</v>
      </c>
      <c r="N25" s="9">
        <v>6.4</v>
      </c>
      <c r="O25" s="9">
        <v>6.4</v>
      </c>
      <c r="P25" s="9">
        <v>6.4</v>
      </c>
      <c r="Q25" s="9">
        <v>6.4</v>
      </c>
      <c r="R25" s="9">
        <v>6.4</v>
      </c>
      <c r="S25" s="9">
        <v>6.4</v>
      </c>
      <c r="T25" s="9">
        <v>6.4</v>
      </c>
      <c r="U25" s="9">
        <v>6.4</v>
      </c>
      <c r="V25" s="9">
        <v>6.4</v>
      </c>
    </row>
    <row r="26" spans="1:23" x14ac:dyDescent="0.25">
      <c r="A26" s="10" t="s">
        <v>22</v>
      </c>
      <c r="C26" s="2">
        <v>0.5</v>
      </c>
      <c r="D26" s="2">
        <f>C26</f>
        <v>0.5</v>
      </c>
      <c r="E26" s="2">
        <f t="shared" ref="E26:V26" si="10">D26</f>
        <v>0.5</v>
      </c>
      <c r="F26" s="2">
        <f t="shared" si="10"/>
        <v>0.5</v>
      </c>
      <c r="G26" s="2">
        <f t="shared" si="10"/>
        <v>0.5</v>
      </c>
      <c r="H26" s="2">
        <f t="shared" si="10"/>
        <v>0.5</v>
      </c>
      <c r="I26" s="2">
        <f t="shared" si="10"/>
        <v>0.5</v>
      </c>
      <c r="J26" s="2">
        <f t="shared" si="10"/>
        <v>0.5</v>
      </c>
      <c r="K26" s="2">
        <f t="shared" si="10"/>
        <v>0.5</v>
      </c>
      <c r="L26" s="2">
        <f t="shared" si="10"/>
        <v>0.5</v>
      </c>
      <c r="M26" s="2">
        <f t="shared" si="10"/>
        <v>0.5</v>
      </c>
      <c r="N26" s="2">
        <f t="shared" si="10"/>
        <v>0.5</v>
      </c>
      <c r="O26" s="2">
        <f t="shared" si="10"/>
        <v>0.5</v>
      </c>
      <c r="P26" s="2">
        <f t="shared" si="10"/>
        <v>0.5</v>
      </c>
      <c r="Q26" s="2">
        <f t="shared" si="10"/>
        <v>0.5</v>
      </c>
      <c r="R26" s="2">
        <f t="shared" si="10"/>
        <v>0.5</v>
      </c>
      <c r="S26" s="2">
        <f t="shared" si="10"/>
        <v>0.5</v>
      </c>
      <c r="T26" s="2">
        <f t="shared" si="10"/>
        <v>0.5</v>
      </c>
      <c r="U26" s="2">
        <f t="shared" si="10"/>
        <v>0.5</v>
      </c>
      <c r="V26" s="2">
        <f t="shared" si="10"/>
        <v>0.5</v>
      </c>
    </row>
    <row r="27" spans="1:23" x14ac:dyDescent="0.25">
      <c r="A27" s="17" t="s">
        <v>23</v>
      </c>
      <c r="B27" s="17"/>
      <c r="C27" s="18">
        <f>C26*(C21+C14)</f>
        <v>0</v>
      </c>
      <c r="D27" s="18">
        <f t="shared" ref="D27:V27" si="11">D26*(D21+D14)</f>
        <v>0</v>
      </c>
      <c r="E27" s="18">
        <f t="shared" si="11"/>
        <v>0</v>
      </c>
      <c r="F27" s="18">
        <f t="shared" si="11"/>
        <v>0</v>
      </c>
      <c r="G27" s="18">
        <f t="shared" si="11"/>
        <v>1.7315662952101269</v>
      </c>
      <c r="H27" s="18">
        <f t="shared" si="11"/>
        <v>1.7442362924921522</v>
      </c>
      <c r="I27" s="18">
        <f t="shared" si="11"/>
        <v>1.760073789094684</v>
      </c>
      <c r="J27" s="18">
        <f t="shared" si="11"/>
        <v>1.7843579505518989</v>
      </c>
      <c r="K27" s="18">
        <f t="shared" si="11"/>
        <v>1.7991396140475953</v>
      </c>
      <c r="L27" s="18">
        <f t="shared" si="11"/>
        <v>1.8170887768637978</v>
      </c>
      <c r="M27" s="18">
        <f t="shared" si="11"/>
        <v>1.830814607252659</v>
      </c>
      <c r="N27" s="18">
        <f t="shared" si="11"/>
        <v>1.8445404376415195</v>
      </c>
      <c r="O27" s="18">
        <f t="shared" si="11"/>
        <v>1.8561546018167094</v>
      </c>
      <c r="P27" s="18">
        <f t="shared" si="11"/>
        <v>1.8730479315260766</v>
      </c>
      <c r="Q27" s="18">
        <f t="shared" si="11"/>
        <v>1.8899412612354436</v>
      </c>
      <c r="R27" s="18">
        <f t="shared" si="11"/>
        <v>1.9015554254106339</v>
      </c>
      <c r="S27" s="18">
        <f t="shared" si="11"/>
        <v>1.9142254226926592</v>
      </c>
      <c r="T27" s="18">
        <f t="shared" si="11"/>
        <v>1.9247837537610135</v>
      </c>
      <c r="U27" s="18">
        <f t="shared" si="11"/>
        <v>1.9363979179362034</v>
      </c>
      <c r="V27" s="18">
        <f t="shared" si="11"/>
        <v>1.9459004158977222</v>
      </c>
    </row>
    <row r="28" spans="1:23" x14ac:dyDescent="0.25">
      <c r="A28" s="7"/>
      <c r="B28" s="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3" x14ac:dyDescent="0.25">
      <c r="A29" t="s">
        <v>24</v>
      </c>
      <c r="B29" s="16">
        <f t="shared" ref="B29:V29" si="12">B11+B27</f>
        <v>-2.9117472145090693</v>
      </c>
      <c r="C29" s="16">
        <f t="shared" si="12"/>
        <v>-4.7460495362351462</v>
      </c>
      <c r="D29" s="16">
        <f t="shared" si="12"/>
        <v>-2.3677992694954342</v>
      </c>
      <c r="E29" s="16">
        <f t="shared" si="12"/>
        <v>-2.0971580116626014</v>
      </c>
      <c r="F29" s="16">
        <f t="shared" si="12"/>
        <v>-1.0750067101738305</v>
      </c>
      <c r="G29" s="16">
        <f t="shared" si="12"/>
        <v>1.4676110803686053</v>
      </c>
      <c r="H29" s="16">
        <f t="shared" si="12"/>
        <v>1.4802810776506306</v>
      </c>
      <c r="I29" s="16">
        <f t="shared" si="12"/>
        <v>1.4961185742531624</v>
      </c>
      <c r="J29" s="16">
        <f t="shared" si="12"/>
        <v>1.5204027357103773</v>
      </c>
      <c r="K29" s="16">
        <f t="shared" si="12"/>
        <v>1.5351843992060736</v>
      </c>
      <c r="L29" s="16">
        <f t="shared" si="12"/>
        <v>1.5531335620222761</v>
      </c>
      <c r="M29" s="16">
        <f t="shared" si="12"/>
        <v>1.5668593924111374</v>
      </c>
      <c r="N29" s="16">
        <f t="shared" si="12"/>
        <v>1.5805852227999979</v>
      </c>
      <c r="O29" s="16">
        <f t="shared" si="12"/>
        <v>1.5921993869751878</v>
      </c>
      <c r="P29" s="16">
        <f t="shared" si="12"/>
        <v>1.609092716684555</v>
      </c>
      <c r="Q29" s="16">
        <f t="shared" si="12"/>
        <v>1.625986046393922</v>
      </c>
      <c r="R29" s="16">
        <f t="shared" si="12"/>
        <v>1.6376002105691123</v>
      </c>
      <c r="S29" s="16">
        <f t="shared" si="12"/>
        <v>1.6502702078511375</v>
      </c>
      <c r="T29" s="16">
        <f t="shared" si="12"/>
        <v>1.6608285389194919</v>
      </c>
      <c r="U29" s="16">
        <f t="shared" si="12"/>
        <v>1.6724427030946818</v>
      </c>
      <c r="V29" s="16">
        <f t="shared" si="12"/>
        <v>1.6819452010562006</v>
      </c>
    </row>
    <row r="30" spans="1:23" x14ac:dyDescent="0.25">
      <c r="A30" t="s">
        <v>25</v>
      </c>
      <c r="C30" s="2">
        <v>0.03</v>
      </c>
    </row>
    <row r="31" spans="1:23" x14ac:dyDescent="0.25">
      <c r="A31" s="21" t="s">
        <v>26</v>
      </c>
      <c r="B31" s="21"/>
      <c r="C31" s="22">
        <f>NPV(C30,B29:V29)</f>
        <v>4.7967038978329128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3" spans="1:22" x14ac:dyDescent="0.25">
      <c r="A33" s="6" t="s">
        <v>27</v>
      </c>
      <c r="B33" s="7"/>
      <c r="C33" s="23">
        <v>0.37956917422432779</v>
      </c>
      <c r="D33" s="23">
        <f>C33</f>
        <v>0.37956917422432779</v>
      </c>
      <c r="E33" s="23">
        <f t="shared" ref="E33:V33" si="13">D33</f>
        <v>0.37956917422432779</v>
      </c>
      <c r="F33" s="23">
        <f t="shared" si="13"/>
        <v>0.37956917422432779</v>
      </c>
      <c r="G33" s="23">
        <f t="shared" si="13"/>
        <v>0.37956917422432779</v>
      </c>
      <c r="H33" s="23">
        <f t="shared" si="13"/>
        <v>0.37956917422432779</v>
      </c>
      <c r="I33" s="23">
        <f t="shared" si="13"/>
        <v>0.37956917422432779</v>
      </c>
      <c r="J33" s="23">
        <f t="shared" si="13"/>
        <v>0.37956917422432779</v>
      </c>
      <c r="K33" s="23">
        <f t="shared" si="13"/>
        <v>0.37956917422432779</v>
      </c>
      <c r="L33" s="23">
        <f t="shared" si="13"/>
        <v>0.37956917422432779</v>
      </c>
      <c r="M33" s="23">
        <f t="shared" si="13"/>
        <v>0.37956917422432779</v>
      </c>
      <c r="N33" s="23">
        <f t="shared" si="13"/>
        <v>0.37956917422432779</v>
      </c>
      <c r="O33" s="23">
        <f t="shared" si="13"/>
        <v>0.37956917422432779</v>
      </c>
      <c r="P33" s="23">
        <f t="shared" si="13"/>
        <v>0.37956917422432779</v>
      </c>
      <c r="Q33" s="23">
        <f t="shared" si="13"/>
        <v>0.37956917422432779</v>
      </c>
      <c r="R33" s="23">
        <f t="shared" si="13"/>
        <v>0.37956917422432779</v>
      </c>
      <c r="S33" s="23">
        <f t="shared" si="13"/>
        <v>0.37956917422432779</v>
      </c>
      <c r="T33" s="23">
        <f t="shared" si="13"/>
        <v>0.37956917422432779</v>
      </c>
      <c r="U33" s="23">
        <f t="shared" si="13"/>
        <v>0.37956917422432779</v>
      </c>
      <c r="V33" s="23">
        <f t="shared" si="13"/>
        <v>0.37956917422432779</v>
      </c>
    </row>
    <row r="34" spans="1:22" x14ac:dyDescent="0.25">
      <c r="A34" t="s">
        <v>28</v>
      </c>
      <c r="C34" s="9">
        <f t="shared" ref="C34:V34" si="14">C33*(C21+C14)</f>
        <v>0</v>
      </c>
      <c r="D34" s="9">
        <f t="shared" si="14"/>
        <v>0</v>
      </c>
      <c r="E34" s="9">
        <f t="shared" si="14"/>
        <v>0</v>
      </c>
      <c r="F34" s="9">
        <f t="shared" si="14"/>
        <v>0</v>
      </c>
      <c r="G34" s="9">
        <f t="shared" si="14"/>
        <v>1.3144983775751728</v>
      </c>
      <c r="H34" s="9">
        <f t="shared" si="14"/>
        <v>1.3241166583866986</v>
      </c>
      <c r="I34" s="9">
        <f t="shared" si="14"/>
        <v>1.3361395094011057</v>
      </c>
      <c r="J34" s="9">
        <f t="shared" si="14"/>
        <v>1.3545745476231963</v>
      </c>
      <c r="K34" s="9">
        <f t="shared" si="14"/>
        <v>1.365795875236643</v>
      </c>
      <c r="L34" s="9">
        <f t="shared" si="14"/>
        <v>1.379421773052971</v>
      </c>
      <c r="M34" s="9">
        <f t="shared" si="14"/>
        <v>1.3898415772654575</v>
      </c>
      <c r="N34" s="9">
        <f t="shared" si="14"/>
        <v>1.4002613814779434</v>
      </c>
      <c r="O34" s="9">
        <f t="shared" si="14"/>
        <v>1.4090781388885087</v>
      </c>
      <c r="P34" s="9">
        <f t="shared" si="14"/>
        <v>1.4219025133038763</v>
      </c>
      <c r="Q34" s="9">
        <f t="shared" si="14"/>
        <v>1.4347268877192438</v>
      </c>
      <c r="R34" s="9">
        <f t="shared" si="14"/>
        <v>1.4435436451298094</v>
      </c>
      <c r="S34" s="9">
        <f t="shared" si="14"/>
        <v>1.4531619259413349</v>
      </c>
      <c r="T34" s="9">
        <f t="shared" si="14"/>
        <v>1.4611771599509396</v>
      </c>
      <c r="U34" s="9">
        <f t="shared" si="14"/>
        <v>1.4699939173615046</v>
      </c>
      <c r="V34" s="9">
        <f t="shared" si="14"/>
        <v>1.4772076279701489</v>
      </c>
    </row>
    <row r="35" spans="1:22" x14ac:dyDescent="0.25">
      <c r="A35" t="s">
        <v>29</v>
      </c>
      <c r="B35" s="9">
        <f t="shared" ref="B35:V35" si="15">B34+B11</f>
        <v>-2.9117472145090693</v>
      </c>
      <c r="C35" s="9">
        <f t="shared" si="15"/>
        <v>-4.7460495362351462</v>
      </c>
      <c r="D35" s="9">
        <f t="shared" si="15"/>
        <v>-2.3677992694954342</v>
      </c>
      <c r="E35" s="9">
        <f t="shared" si="15"/>
        <v>-2.0971580116626014</v>
      </c>
      <c r="F35" s="9">
        <f t="shared" si="15"/>
        <v>-1.0750067101738305</v>
      </c>
      <c r="G35" s="9">
        <f t="shared" si="15"/>
        <v>1.0505431627336512</v>
      </c>
      <c r="H35" s="9">
        <f t="shared" si="15"/>
        <v>1.0601614435451769</v>
      </c>
      <c r="I35" s="9">
        <f t="shared" si="15"/>
        <v>1.0721842945595841</v>
      </c>
      <c r="J35" s="9">
        <f t="shared" si="15"/>
        <v>1.0906193327816747</v>
      </c>
      <c r="K35" s="9">
        <f t="shared" si="15"/>
        <v>1.1018406603951214</v>
      </c>
      <c r="L35" s="9">
        <f t="shared" si="15"/>
        <v>1.1154665582114494</v>
      </c>
      <c r="M35" s="9">
        <f t="shared" si="15"/>
        <v>1.1258863624239359</v>
      </c>
      <c r="N35" s="9">
        <f t="shared" si="15"/>
        <v>1.1363061666364218</v>
      </c>
      <c r="O35" s="9">
        <f t="shared" si="15"/>
        <v>1.1451229240469871</v>
      </c>
      <c r="P35" s="9">
        <f t="shared" si="15"/>
        <v>1.1579472984623547</v>
      </c>
      <c r="Q35" s="9">
        <f t="shared" si="15"/>
        <v>1.1707716728777222</v>
      </c>
      <c r="R35" s="9">
        <f t="shared" si="15"/>
        <v>1.1795884302882877</v>
      </c>
      <c r="S35" s="9">
        <f t="shared" si="15"/>
        <v>1.1892067110998132</v>
      </c>
      <c r="T35" s="9">
        <f t="shared" si="15"/>
        <v>1.1972219451094179</v>
      </c>
      <c r="U35" s="9">
        <f t="shared" si="15"/>
        <v>1.206038702519983</v>
      </c>
      <c r="V35" s="9">
        <f t="shared" si="15"/>
        <v>1.2132524131286273</v>
      </c>
    </row>
    <row r="36" spans="1:22" x14ac:dyDescent="0.25">
      <c r="A36" s="24" t="s">
        <v>30</v>
      </c>
      <c r="B36" s="25"/>
      <c r="C36" s="25">
        <f>NPV(C30,B35:V35)</f>
        <v>-1.5090410043448729E-15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9" spans="1:22" x14ac:dyDescent="0.25">
      <c r="A39" t="s">
        <v>31</v>
      </c>
    </row>
    <row r="40" spans="1:22" x14ac:dyDescent="0.25">
      <c r="A40" t="s">
        <v>32</v>
      </c>
      <c r="B40" s="2">
        <v>0.02</v>
      </c>
    </row>
    <row r="44" spans="1:22" hidden="1" x14ac:dyDescent="0.25">
      <c r="B44">
        <v>0.17</v>
      </c>
    </row>
    <row r="45" spans="1:22" hidden="1" x14ac:dyDescent="0.25">
      <c r="B45">
        <v>0.23</v>
      </c>
    </row>
    <row r="46" spans="1:22" hidden="1" x14ac:dyDescent="0.25">
      <c r="B46">
        <v>0.19</v>
      </c>
    </row>
    <row r="47" spans="1:22" hidden="1" x14ac:dyDescent="0.25">
      <c r="B47">
        <v>0.19</v>
      </c>
    </row>
    <row r="48" spans="1:22" hidden="1" x14ac:dyDescent="0.25">
      <c r="B48">
        <v>0.12</v>
      </c>
    </row>
    <row r="49" spans="2:2" hidden="1" x14ac:dyDescent="0.25">
      <c r="B49">
        <v>0.15</v>
      </c>
    </row>
    <row r="50" spans="2:2" hidden="1" x14ac:dyDescent="0.25">
      <c r="B50">
        <v>0.23</v>
      </c>
    </row>
    <row r="51" spans="2:2" hidden="1" x14ac:dyDescent="0.25">
      <c r="B51">
        <v>0.14000000000000001</v>
      </c>
    </row>
    <row r="52" spans="2:2" hidden="1" x14ac:dyDescent="0.25">
      <c r="B52">
        <v>0.17</v>
      </c>
    </row>
    <row r="53" spans="2:2" hidden="1" x14ac:dyDescent="0.25">
      <c r="B53">
        <v>0.13</v>
      </c>
    </row>
    <row r="54" spans="2:2" hidden="1" x14ac:dyDescent="0.25">
      <c r="B54">
        <v>0.13</v>
      </c>
    </row>
    <row r="55" spans="2:2" hidden="1" x14ac:dyDescent="0.25">
      <c r="B55">
        <v>0.11</v>
      </c>
    </row>
    <row r="56" spans="2:2" hidden="1" x14ac:dyDescent="0.25">
      <c r="B56">
        <v>0.16</v>
      </c>
    </row>
    <row r="57" spans="2:2" hidden="1" x14ac:dyDescent="0.25">
      <c r="B57">
        <v>0.16</v>
      </c>
    </row>
    <row r="58" spans="2:2" hidden="1" x14ac:dyDescent="0.25">
      <c r="B58">
        <v>0.11</v>
      </c>
    </row>
    <row r="59" spans="2:2" hidden="1" x14ac:dyDescent="0.25">
      <c r="B59">
        <v>0.12</v>
      </c>
    </row>
    <row r="60" spans="2:2" hidden="1" x14ac:dyDescent="0.25">
      <c r="B60">
        <v>0.1</v>
      </c>
    </row>
    <row r="61" spans="2:2" hidden="1" x14ac:dyDescent="0.25">
      <c r="B61">
        <v>0.11</v>
      </c>
    </row>
    <row r="62" spans="2:2" hidden="1" x14ac:dyDescent="0.25">
      <c r="B62">
        <v>0.09</v>
      </c>
    </row>
    <row r="63" spans="2:2" hidden="1" x14ac:dyDescent="0.25">
      <c r="B63">
        <v>0.13</v>
      </c>
    </row>
    <row r="64" spans="2:2" hidden="1" x14ac:dyDescent="0.25"/>
    <row r="65" spans="1:3" hidden="1" x14ac:dyDescent="0.25">
      <c r="A65" s="26" t="s">
        <v>11</v>
      </c>
      <c r="B65" s="27">
        <v>0</v>
      </c>
      <c r="C65" s="9">
        <f t="shared" ref="C65" si="16">C70*C69</f>
        <v>0.67816370687999994</v>
      </c>
    </row>
    <row r="66" spans="1:3" hidden="1" x14ac:dyDescent="0.25">
      <c r="A66" s="28" t="s">
        <v>12</v>
      </c>
      <c r="B66" s="27"/>
      <c r="C66" s="27">
        <v>189.6</v>
      </c>
    </row>
    <row r="67" spans="1:3" hidden="1" x14ac:dyDescent="0.25">
      <c r="A67" s="28" t="s">
        <v>13</v>
      </c>
      <c r="B67" s="29"/>
      <c r="C67" s="29">
        <v>15040</v>
      </c>
    </row>
    <row r="68" spans="1:3" hidden="1" x14ac:dyDescent="0.25">
      <c r="A68" s="28" t="s">
        <v>14</v>
      </c>
      <c r="B68" s="29"/>
      <c r="C68" s="29">
        <v>170</v>
      </c>
    </row>
    <row r="69" spans="1:3" hidden="1" x14ac:dyDescent="0.25">
      <c r="A69" s="28" t="s">
        <v>15</v>
      </c>
      <c r="B69" s="27"/>
      <c r="C69" s="27">
        <f t="shared" ref="C69" si="17">C66/100000*C67</f>
        <v>28.515839999999997</v>
      </c>
    </row>
    <row r="70" spans="1:3" hidden="1" x14ac:dyDescent="0.25">
      <c r="A70" s="28" t="s">
        <v>16</v>
      </c>
      <c r="B70" s="27"/>
      <c r="C70" s="27">
        <v>2.3782000000000001E-2</v>
      </c>
    </row>
    <row r="71" spans="1:3" hidden="1" x14ac:dyDescent="0.25">
      <c r="A71" s="28"/>
      <c r="B71" s="27"/>
      <c r="C71" s="27"/>
    </row>
    <row r="72" spans="1:3" hidden="1" x14ac:dyDescent="0.25">
      <c r="A72" s="26" t="s">
        <v>17</v>
      </c>
      <c r="B72" s="27"/>
      <c r="C72" s="9">
        <f t="shared" ref="C72" si="18">C76*C75</f>
        <v>2.4977822784810129</v>
      </c>
    </row>
    <row r="73" spans="1:3" hidden="1" x14ac:dyDescent="0.25">
      <c r="A73" s="28" t="s">
        <v>18</v>
      </c>
      <c r="B73" s="27"/>
      <c r="C73" s="29">
        <f>4100*C67/15040</f>
        <v>4100</v>
      </c>
    </row>
    <row r="74" spans="1:3" hidden="1" x14ac:dyDescent="0.25">
      <c r="A74" s="28" t="s">
        <v>19</v>
      </c>
      <c r="B74" s="27"/>
      <c r="C74" s="29">
        <f>158*C67/15040</f>
        <v>158</v>
      </c>
    </row>
    <row r="75" spans="1:3" hidden="1" x14ac:dyDescent="0.25">
      <c r="A75" s="28" t="s">
        <v>20</v>
      </c>
      <c r="B75" s="27"/>
      <c r="C75" s="27">
        <f>C67/10^6/C74*C73</f>
        <v>0.39027848101265822</v>
      </c>
    </row>
    <row r="76" spans="1:3" hidden="1" x14ac:dyDescent="0.25">
      <c r="A76" s="28" t="s">
        <v>21</v>
      </c>
      <c r="B76" s="27"/>
      <c r="C76" s="27">
        <v>6.4</v>
      </c>
    </row>
    <row r="77" spans="1:3" hidden="1" x14ac:dyDescent="0.25">
      <c r="A77" s="30"/>
      <c r="B77" s="30"/>
      <c r="C77" s="30"/>
    </row>
  </sheetData>
  <pageMargins left="0.7" right="0.7" top="0.75" bottom="0.75" header="0.3" footer="0.3"/>
  <pageSetup paperSize="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6ae72f-6d51-4737-8f6b-a9169c366b64">
      <Terms xmlns="http://schemas.microsoft.com/office/infopath/2007/PartnerControls"/>
    </lcf76f155ced4ddcb4097134ff3c332f>
    <TaxCatchAll xmlns="50c9b839-8b53-4ddb-9b24-b96221f2bda6" xsi:nil="true"/>
    <remarks xmlns="366ae72f-6d51-4737-8f6b-a9169c366b64" xsi:nil="true"/>
    <file_x0020_ xmlns="366ae72f-6d51-4737-8f6b-a9169c366b64" xsi:nil="true"/>
    <SharedWithUsers xmlns="a3cd7b71-671d-4139-9a97-5d1a7380fae4">
      <UserInfo>
        <DisplayName/>
        <AccountId xsi:nil="true"/>
        <AccountType/>
      </UserInfo>
    </SharedWithUsers>
    <MediaLengthInSeconds xmlns="366ae72f-6d51-4737-8f6b-a9169c366b6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79F12F22C9E4F9273E32F354CEDB7" ma:contentTypeVersion="20" ma:contentTypeDescription="Create a new document." ma:contentTypeScope="" ma:versionID="ea4e5d10fa89c9815ebf3d9d51abb56c">
  <xsd:schema xmlns:xsd="http://www.w3.org/2001/XMLSchema" xmlns:xs="http://www.w3.org/2001/XMLSchema" xmlns:p="http://schemas.microsoft.com/office/2006/metadata/properties" xmlns:ns2="366ae72f-6d51-4737-8f6b-a9169c366b64" xmlns:ns3="a3cd7b71-671d-4139-9a97-5d1a7380fae4" xmlns:ns4="50c9b839-8b53-4ddb-9b24-b96221f2bda6" targetNamespace="http://schemas.microsoft.com/office/2006/metadata/properties" ma:root="true" ma:fieldsID="bb0d8430c0dc2f6bfac168702e804803" ns2:_="" ns3:_="" ns4:_="">
    <xsd:import namespace="366ae72f-6d51-4737-8f6b-a9169c366b64"/>
    <xsd:import namespace="a3cd7b71-671d-4139-9a97-5d1a7380fae4"/>
    <xsd:import namespace="50c9b839-8b53-4ddb-9b24-b96221f2b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file_x0020_" minOccurs="0"/>
                <xsd:element ref="ns2:remark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ae72f-6d51-4737-8f6b-a9169c366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description="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file_x0020_" ma:index="16" nillable="true" ma:displayName="file " ma:format="Dropdown" ma:internalName="file_x0020_" ma:percentage="FALSE">
      <xsd:simpleType>
        <xsd:restriction base="dms:Number"/>
      </xsd:simpleType>
    </xsd:element>
    <xsd:element name="remarks" ma:index="17" nillable="true" ma:displayName="remarks" ma:format="Dropdown" ma:internalName="remarks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a5397d5-9543-4dbc-8fcb-23c3638b1d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d7b71-671d-4139-9a97-5d1a7380fae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b839-8b53-4ddb-9b24-b96221f2bda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fd50e79-fa69-4ed5-b0f8-bdacc103d93a}" ma:internalName="TaxCatchAll" ma:showField="CatchAllData" ma:web="a3cd7b71-671d-4139-9a97-5d1a7380f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9F4EF7-3BDE-4812-8344-F9704CA9846F}">
  <ds:schemaRefs>
    <ds:schemaRef ds:uri="http://purl.org/dc/dcmitype/"/>
    <ds:schemaRef ds:uri="http://schemas.microsoft.com/office/2006/metadata/properties"/>
    <ds:schemaRef ds:uri="765ce9ec-8dc2-4810-b47b-aff11b69c291"/>
    <ds:schemaRef ds:uri="http://schemas.microsoft.com/office/infopath/2007/PartnerControls"/>
    <ds:schemaRef ds:uri="http://purl.org/dc/elements/1.1/"/>
    <ds:schemaRef ds:uri="49dbd42b-4e70-49db-9652-074cdc37e754"/>
    <ds:schemaRef ds:uri="http://schemas.microsoft.com/office/2006/documentManagement/types"/>
    <ds:schemaRef ds:uri="a4080d2f-248d-41d9-867e-cfc4f0ff9883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1DBD31-1D3A-4DF5-A454-62E4845ECC65}"/>
</file>

<file path=customXml/itemProps3.xml><?xml version="1.0" encoding="utf-8"?>
<ds:datastoreItem xmlns:ds="http://schemas.openxmlformats.org/officeDocument/2006/customXml" ds:itemID="{008CF065-4C23-4BCB-8E55-B44638AA3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Yap</dc:creator>
  <cp:keywords/>
  <dc:description/>
  <cp:lastModifiedBy>MFEM-DCD</cp:lastModifiedBy>
  <cp:revision/>
  <dcterms:created xsi:type="dcterms:W3CDTF">2023-01-26T09:03:57Z</dcterms:created>
  <dcterms:modified xsi:type="dcterms:W3CDTF">2024-02-04T21:59:13Z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0x01010000979F12F22C9E4F9273E32F354CEDB7</vt:lpwstr>
  </property>
  <property fmtid="{D5CDD505-2E9C-101B-9397-08002B2CF9AE}" pid="3" name="MediaServiceImageTags">
    <vt:lpwstr/>
  </property>
  <property fmtid="{D5CDD505-2E9C-101B-9397-08002B2CF9AE}" pid="4" name="Etag">
    <vt:lpwstr>0x8DC25FFCB385787</vt:lpwstr>
  </property>
  <property fmtid="{D5CDD505-2E9C-101B-9397-08002B2CF9AE}" pid="5" name="Order">
    <vt:r8>76346200</vt:r8>
  </property>
  <property fmtid="{D5CDD505-2E9C-101B-9397-08002B2CF9AE}" pid="6" name="SWCPowerTaggingTag">
    <vt:lpwstr>{"Extraction":1,"Tags":[]}</vt:lpwstr>
  </property>
  <property fmtid="{D5CDD505-2E9C-101B-9397-08002B2CF9AE}" pid="7" name="blobFile">
    <vt:lpwstr>de9431d3-f5c4-41fb-9aca-f3389ed07ffd/5177ece8-b37e-4e22-8c5b-5bf45e89b0cf.xlsx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ComplianceAssetId">
    <vt:lpwstr/>
  </property>
  <property fmtid="{D5CDD505-2E9C-101B-9397-08002B2CF9AE}" pid="14" name="DocumentType">
    <vt:lpwstr>Econ. &amp; Fin. Analysis</vt:lpwstr>
  </property>
  <property fmtid="{D5CDD505-2E9C-101B-9397-08002B2CF9AE}" pid="15" name="_ExtendedDescription">
    <vt:lpwstr/>
  </property>
  <property fmtid="{D5CDD505-2E9C-101B-9397-08002B2CF9AE}" pid="16" name="TriggerFlowInfo">
    <vt:lpwstr/>
  </property>
</Properties>
</file>